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r\Dropbox\SCHOTT DATA FILES- MAY 2021\TAURUS ONE DATA FILES\ACCUBLEND NEW 230105\DESIGN\COMMON\ENGINEERING CALCS\"/>
    </mc:Choice>
  </mc:AlternateContent>
  <xr:revisionPtr revIDLastSave="0" documentId="8_{1AC4DEE3-0975-4B41-9BC0-57204FE61D08}" xr6:coauthVersionLast="47" xr6:coauthVersionMax="47" xr10:uidLastSave="{00000000-0000-0000-0000-000000000000}"/>
  <bookViews>
    <workbookView xWindow="9135" yWindow="3720" windowWidth="20355" windowHeight="12450" xr2:uid="{74DBA13E-4A69-4A5F-869F-7CCD85466F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7" i="1"/>
  <c r="F8" i="1"/>
  <c r="E15" i="1"/>
  <c r="E14" i="1" s="1"/>
  <c r="E19" i="1" s="1"/>
  <c r="E16" i="1"/>
  <c r="E29" i="1"/>
  <c r="E30" i="1"/>
  <c r="I30" i="1"/>
  <c r="K30" i="1"/>
  <c r="E31" i="1" s="1"/>
  <c r="E32" i="1"/>
  <c r="E33" i="1"/>
  <c r="E34" i="1"/>
  <c r="E44" i="1"/>
  <c r="E41" i="1" s="1"/>
  <c r="D55" i="1"/>
  <c r="E60" i="1"/>
  <c r="E48" i="1" l="1"/>
  <c r="E42" i="1" s="1"/>
  <c r="G31" i="1"/>
  <c r="E35" i="1"/>
  <c r="E36" i="1" s="1"/>
</calcChain>
</file>

<file path=xl/sharedStrings.xml><?xml version="1.0" encoding="utf-8"?>
<sst xmlns="http://schemas.openxmlformats.org/spreadsheetml/2006/main" count="83" uniqueCount="64">
  <si>
    <t>LIQUIDS</t>
  </si>
  <si>
    <t>CONTROL VALVE PRESSURE DROP  (VISCOSITY &lt; 50 CP)</t>
  </si>
  <si>
    <t>Q (GPM)</t>
  </si>
  <si>
    <t>CV</t>
  </si>
  <si>
    <t>DP (PSI)</t>
  </si>
  <si>
    <t>SG</t>
  </si>
  <si>
    <t>Q=Cv*SQRT(DP/SG)</t>
  </si>
  <si>
    <t>Cv=Q*SQRT(SG/DP)</t>
  </si>
  <si>
    <r>
      <t>DP=(Q</t>
    </r>
    <r>
      <rPr>
        <vertAlign val="superscript"/>
        <sz val="10"/>
        <rFont val="MS Sans Serif"/>
        <family val="2"/>
      </rPr>
      <t>2</t>
    </r>
    <r>
      <rPr>
        <sz val="10"/>
        <rFont val="MS Sans Serif"/>
        <family val="2"/>
      </rPr>
      <t>/Cv</t>
    </r>
    <r>
      <rPr>
        <vertAlign val="superscript"/>
        <sz val="10"/>
        <rFont val="MS Sans Serif"/>
        <family val="2"/>
      </rPr>
      <t>2</t>
    </r>
    <r>
      <rPr>
        <sz val="10"/>
        <rFont val="MS Sans Serif"/>
        <family val="2"/>
      </rPr>
      <t>)*SG</t>
    </r>
  </si>
  <si>
    <t>SHEAR RATE FOR POWER LAW NON NEWTONIAN FLUID IN A PIPE (USE W/ PIPING PRESSURE DROP BELOW)</t>
  </si>
  <si>
    <t>SHEAR RATE</t>
  </si>
  <si>
    <t>1 / SEC</t>
  </si>
  <si>
    <t>VELOCITY</t>
  </si>
  <si>
    <t>FT/SEC</t>
  </si>
  <si>
    <t>??? Check link</t>
  </si>
  <si>
    <t>DIAMETER</t>
  </si>
  <si>
    <t>IN</t>
  </si>
  <si>
    <t>SHEAR INDEX, n</t>
  </si>
  <si>
    <t>K</t>
  </si>
  <si>
    <t>CP</t>
  </si>
  <si>
    <t>VISCOSITY</t>
  </si>
  <si>
    <t xml:space="preserve">PIPING PRESSURE DROP </t>
  </si>
  <si>
    <t>CASE</t>
  </si>
  <si>
    <t>BREWER FIN PROD</t>
  </si>
  <si>
    <t>SPECIFIC GRAVITY</t>
  </si>
  <si>
    <t>PIPE ID</t>
  </si>
  <si>
    <t>FLOW</t>
  </si>
  <si>
    <t>GPM</t>
  </si>
  <si>
    <t>LENGTH OF RUN</t>
  </si>
  <si>
    <t>FT</t>
  </si>
  <si>
    <t>LAMINAR</t>
  </si>
  <si>
    <t>TURBULENT</t>
  </si>
  <si>
    <t>FRIC FAC</t>
  </si>
  <si>
    <t>REYNOLDS NO.</t>
  </si>
  <si>
    <t>PIPING DROP</t>
  </si>
  <si>
    <t>PSIG</t>
  </si>
  <si>
    <t>FT H2O</t>
  </si>
  <si>
    <t>LIQUID WEIGHT</t>
  </si>
  <si>
    <t>LB</t>
  </si>
  <si>
    <t>LIQUID VOLUME</t>
  </si>
  <si>
    <t>GAL</t>
  </si>
  <si>
    <t>TRANSIT TIME</t>
  </si>
  <si>
    <t>SEC</t>
  </si>
  <si>
    <t>EQUIVALENT CV</t>
  </si>
  <si>
    <t>1 / Cv</t>
  </si>
  <si>
    <t>ORIFICE FLOW (LIQUIDS)</t>
  </si>
  <si>
    <t>LB / MIN</t>
  </si>
  <si>
    <t>C</t>
  </si>
  <si>
    <t>AREA</t>
  </si>
  <si>
    <t>SQ IN</t>
  </si>
  <si>
    <t>DELTA P</t>
  </si>
  <si>
    <t>PSI</t>
  </si>
  <si>
    <t>EQUIVALENT Cv</t>
  </si>
  <si>
    <t>RECOMMENDED PIPE SIZE FOR NON-VISCOUS FLOW</t>
  </si>
  <si>
    <t>Q</t>
  </si>
  <si>
    <t>STOKE'S LAW OF PARTICAL SETTLING VELOCITY (BETA)</t>
  </si>
  <si>
    <t>SINKING VELOCITY</t>
  </si>
  <si>
    <t>PARTICLE RADIUS</t>
  </si>
  <si>
    <t>GRAVITATION CONSTANT</t>
  </si>
  <si>
    <t>FT/SEC*2</t>
  </si>
  <si>
    <t>PARTICLE DENSITY</t>
  </si>
  <si>
    <t>LB/CU FT</t>
  </si>
  <si>
    <t>WATER DENSITY</t>
  </si>
  <si>
    <t>LB/SEC-FT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</si>
</sst>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0"/>
  </numFmts>
  <fonts count="11" x14ac:knownFonts="1">
    <font>
      <sz val="11"/>
      <color theme="1"/>
      <name val="Calibri"/>
      <family val="2"/>
      <scheme val="minor"/>
    </font>
    <font>
      <b/>
      <sz val="24"/>
      <color indexed="48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0"/>
      <name val="MS Sans Serif"/>
      <family val="2"/>
    </font>
    <font>
      <b/>
      <sz val="10"/>
      <color indexed="10"/>
      <name val="MS Sans Serif"/>
      <family val="2"/>
    </font>
    <font>
      <vertAlign val="superscript"/>
      <sz val="10"/>
      <name val="MS Sans Serif"/>
      <family val="2"/>
    </font>
    <font>
      <sz val="10"/>
      <name val="MS Sans Serif"/>
      <family val="2"/>
    </font>
    <font>
      <b/>
      <sz val="10"/>
      <color indexed="16"/>
      <name val="MS Sans Serif"/>
      <family val="2"/>
    </font>
    <font>
      <sz val="10"/>
      <color indexed="16"/>
      <name val="MS Sans Serif"/>
      <family val="2"/>
    </font>
    <font>
      <b/>
      <sz val="10"/>
      <color indexed="56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7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2" fillId="0" borderId="0" xfId="0" applyNumberFormat="1" applyFont="1" applyAlignment="1">
      <alignment horizontal="centerContinuous"/>
    </xf>
    <xf numFmtId="167" fontId="3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0" xfId="0" applyNumberFormat="1" applyFont="1" applyAlignment="1" applyProtection="1">
      <alignment horizontal="center"/>
      <protection locked="0"/>
    </xf>
    <xf numFmtId="167" fontId="0" fillId="0" borderId="0" xfId="0" applyNumberFormat="1" applyAlignment="1">
      <alignment horizontal="left"/>
    </xf>
    <xf numFmtId="167" fontId="0" fillId="0" borderId="0" xfId="0" applyNumberFormat="1" applyAlignment="1">
      <alignment horizontal="centerContinuous"/>
    </xf>
    <xf numFmtId="167" fontId="8" fillId="0" borderId="0" xfId="0" applyNumberFormat="1" applyFont="1" applyAlignment="1" applyProtection="1">
      <alignment horizontal="center"/>
      <protection locked="0"/>
    </xf>
    <xf numFmtId="167" fontId="7" fillId="0" borderId="0" xfId="0" applyNumberFormat="1" applyFont="1" applyAlignment="1">
      <alignment horizontal="center"/>
    </xf>
    <xf numFmtId="167" fontId="5" fillId="0" borderId="0" xfId="0" applyNumberFormat="1" applyFont="1" applyAlignment="1" applyProtection="1">
      <alignment horizontal="left"/>
      <protection locked="0"/>
    </xf>
    <xf numFmtId="167" fontId="9" fillId="0" borderId="0" xfId="0" applyNumberFormat="1" applyFont="1" applyAlignment="1" applyProtection="1">
      <alignment horizontal="center"/>
      <protection locked="0"/>
    </xf>
    <xf numFmtId="167" fontId="10" fillId="0" borderId="0" xfId="0" applyNumberFormat="1" applyFont="1" applyAlignment="1">
      <alignment horizontal="center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931DB-3B5E-4406-9650-164DA0654C3B}">
  <dimension ref="A1:K65"/>
  <sheetViews>
    <sheetView tabSelected="1" workbookViewId="0">
      <selection activeCell="I24" sqref="I24"/>
    </sheetView>
  </sheetViews>
  <sheetFormatPr defaultRowHeight="15" x14ac:dyDescent="0.25"/>
  <cols>
    <col min="1" max="2" width="9.140625" style="15"/>
    <col min="3" max="3" width="7.140625" style="15" bestFit="1" customWidth="1"/>
    <col min="4" max="4" width="23.85546875" style="15" bestFit="1" customWidth="1"/>
    <col min="5" max="5" width="21.85546875" style="15" bestFit="1" customWidth="1"/>
    <col min="6" max="6" width="9.7109375" style="15" bestFit="1" customWidth="1"/>
    <col min="7" max="7" width="14.28515625" style="15" bestFit="1" customWidth="1"/>
    <col min="8" max="8" width="18.42578125" style="15" bestFit="1" customWidth="1"/>
    <col min="9" max="9" width="9.5703125" style="15" bestFit="1" customWidth="1"/>
    <col min="10" max="10" width="11.42578125" style="15" bestFit="1" customWidth="1"/>
    <col min="11" max="11" width="9" style="15" bestFit="1" customWidth="1"/>
    <col min="12" max="16384" width="9.140625" style="15"/>
  </cols>
  <sheetData>
    <row r="1" spans="1:8" s="2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</row>
    <row r="2" spans="1:8" s="3" customFormat="1" x14ac:dyDescent="0.25"/>
    <row r="3" spans="1:8" s="5" customFormat="1" ht="15.75" x14ac:dyDescent="0.25">
      <c r="A3" s="4" t="s">
        <v>1</v>
      </c>
      <c r="B3" s="4"/>
      <c r="C3" s="4"/>
      <c r="D3" s="4"/>
      <c r="E3" s="4"/>
      <c r="F3" s="4"/>
      <c r="G3" s="4"/>
      <c r="H3" s="4"/>
    </row>
    <row r="4" spans="1:8" s="3" customFormat="1" x14ac:dyDescent="0.25"/>
    <row r="5" spans="1:8" s="6" customFormat="1" ht="12.75" x14ac:dyDescent="0.2">
      <c r="D5" s="6" t="s">
        <v>2</v>
      </c>
      <c r="E5" s="6" t="s">
        <v>3</v>
      </c>
      <c r="F5" s="6" t="s">
        <v>4</v>
      </c>
      <c r="G5" s="6" t="s">
        <v>5</v>
      </c>
    </row>
    <row r="6" spans="1:8" s="3" customFormat="1" x14ac:dyDescent="0.25">
      <c r="D6" s="3">
        <f>+E6*SQRT(F6)/SQRT(G6)</f>
        <v>15.811388300841898</v>
      </c>
      <c r="E6" s="7">
        <v>2.5</v>
      </c>
      <c r="F6" s="7">
        <v>40</v>
      </c>
      <c r="G6" s="7">
        <v>1</v>
      </c>
      <c r="H6" s="8" t="s">
        <v>6</v>
      </c>
    </row>
    <row r="7" spans="1:8" s="3" customFormat="1" x14ac:dyDescent="0.25">
      <c r="D7" s="7">
        <v>7.6999999999999999E-2</v>
      </c>
      <c r="E7" s="3">
        <f>+D7*SQRT(G7)/SQRT(F7)</f>
        <v>1.0997799779955988E-2</v>
      </c>
      <c r="F7" s="7">
        <v>50</v>
      </c>
      <c r="G7" s="7">
        <v>1.02</v>
      </c>
      <c r="H7" s="8" t="s">
        <v>7</v>
      </c>
    </row>
    <row r="8" spans="1:8" s="3" customFormat="1" ht="16.5" x14ac:dyDescent="0.25">
      <c r="D8" s="7">
        <v>7.6999999999999999E-2</v>
      </c>
      <c r="E8" s="7">
        <v>0.04</v>
      </c>
      <c r="F8" s="3">
        <f>+(D8^2*G8/E8^2)</f>
        <v>3.7056249999999999</v>
      </c>
      <c r="G8" s="7">
        <v>1</v>
      </c>
      <c r="H8" s="8" t="s">
        <v>8</v>
      </c>
    </row>
    <row r="9" spans="1:8" s="3" customFormat="1" x14ac:dyDescent="0.25">
      <c r="D9" s="7"/>
      <c r="E9" s="7"/>
      <c r="G9" s="7"/>
      <c r="H9" s="8"/>
    </row>
    <row r="10" spans="1:8" s="3" customFormat="1" x14ac:dyDescent="0.25">
      <c r="D10" s="7"/>
      <c r="E10" s="7"/>
      <c r="G10" s="7"/>
      <c r="H10" s="8"/>
    </row>
    <row r="11" spans="1:8" s="3" customFormat="1" x14ac:dyDescent="0.25">
      <c r="D11" s="7"/>
      <c r="E11" s="7"/>
    </row>
    <row r="12" spans="1:8" s="3" customFormat="1" ht="15.75" x14ac:dyDescent="0.25">
      <c r="C12" s="4" t="s">
        <v>9</v>
      </c>
      <c r="D12" s="9"/>
      <c r="E12" s="4"/>
      <c r="F12" s="4"/>
      <c r="G12" s="4"/>
      <c r="H12" s="4"/>
    </row>
    <row r="13" spans="1:8" s="3" customFormat="1" x14ac:dyDescent="0.25">
      <c r="A13" s="10"/>
    </row>
    <row r="14" spans="1:8" s="3" customFormat="1" x14ac:dyDescent="0.25">
      <c r="A14" s="10"/>
      <c r="D14" s="3" t="s">
        <v>10</v>
      </c>
      <c r="E14" s="11" t="e">
        <f>((8*E15)/(E16/12))*((3*E17+1)/(4*E17))</f>
        <v>#DIV/0!</v>
      </c>
      <c r="F14" s="3" t="s">
        <v>11</v>
      </c>
    </row>
    <row r="15" spans="1:8" s="3" customFormat="1" x14ac:dyDescent="0.25">
      <c r="A15" s="10"/>
      <c r="D15" s="3" t="s">
        <v>12</v>
      </c>
      <c r="E15" s="11">
        <f>E82</f>
        <v>0</v>
      </c>
      <c r="F15" s="3" t="s">
        <v>13</v>
      </c>
      <c r="G15" s="3" t="s">
        <v>14</v>
      </c>
    </row>
    <row r="16" spans="1:8" s="3" customFormat="1" x14ac:dyDescent="0.25">
      <c r="A16" s="10"/>
      <c r="D16" s="3" t="s">
        <v>15</v>
      </c>
      <c r="E16" s="11">
        <f>E94</f>
        <v>0</v>
      </c>
      <c r="F16" s="3" t="s">
        <v>16</v>
      </c>
    </row>
    <row r="17" spans="1:11" s="3" customFormat="1" x14ac:dyDescent="0.25">
      <c r="A17" s="10"/>
      <c r="D17" s="3" t="s">
        <v>17</v>
      </c>
      <c r="E17" s="7">
        <v>0.32790000000000002</v>
      </c>
    </row>
    <row r="18" spans="1:11" s="3" customFormat="1" x14ac:dyDescent="0.25">
      <c r="A18" s="10"/>
      <c r="D18" s="3" t="s">
        <v>18</v>
      </c>
      <c r="E18" s="7">
        <v>38947</v>
      </c>
      <c r="F18" s="3" t="s">
        <v>19</v>
      </c>
    </row>
    <row r="19" spans="1:11" s="3" customFormat="1" x14ac:dyDescent="0.25">
      <c r="A19" s="10"/>
      <c r="D19" s="3" t="s">
        <v>20</v>
      </c>
      <c r="E19" s="11" t="e">
        <f>EXP(((E17-1)*LN(E14))+LN(E18))</f>
        <v>#DIV/0!</v>
      </c>
      <c r="F19" s="3" t="s">
        <v>19</v>
      </c>
    </row>
    <row r="20" spans="1:11" s="3" customFormat="1" x14ac:dyDescent="0.25">
      <c r="D20" s="7"/>
      <c r="E20" s="7"/>
    </row>
    <row r="21" spans="1:11" s="3" customFormat="1" ht="15.75" x14ac:dyDescent="0.25">
      <c r="A21" s="4" t="s">
        <v>21</v>
      </c>
      <c r="B21" s="4"/>
      <c r="C21" s="4"/>
      <c r="D21" s="4"/>
      <c r="E21" s="4"/>
      <c r="F21" s="4"/>
      <c r="G21" s="4"/>
      <c r="H21" s="4"/>
    </row>
    <row r="22" spans="1:11" s="3" customFormat="1" x14ac:dyDescent="0.25"/>
    <row r="23" spans="1:11" s="3" customFormat="1" x14ac:dyDescent="0.25">
      <c r="D23" s="3" t="s">
        <v>22</v>
      </c>
      <c r="E23" s="12" t="s">
        <v>23</v>
      </c>
    </row>
    <row r="24" spans="1:11" s="3" customFormat="1" x14ac:dyDescent="0.25">
      <c r="D24" s="3" t="s">
        <v>24</v>
      </c>
      <c r="E24" s="7">
        <v>0.9</v>
      </c>
    </row>
    <row r="25" spans="1:11" s="3" customFormat="1" x14ac:dyDescent="0.25">
      <c r="D25" s="3" t="s">
        <v>20</v>
      </c>
      <c r="E25" s="7">
        <v>30000</v>
      </c>
      <c r="F25" s="3" t="s">
        <v>19</v>
      </c>
    </row>
    <row r="26" spans="1:11" s="3" customFormat="1" x14ac:dyDescent="0.25">
      <c r="D26" s="3" t="s">
        <v>25</v>
      </c>
      <c r="E26" s="7">
        <v>2.2599999999999998</v>
      </c>
      <c r="F26" s="3" t="s">
        <v>16</v>
      </c>
    </row>
    <row r="27" spans="1:11" s="3" customFormat="1" x14ac:dyDescent="0.25">
      <c r="D27" s="11" t="s">
        <v>26</v>
      </c>
      <c r="E27" s="7">
        <v>10</v>
      </c>
      <c r="F27" s="11" t="s">
        <v>27</v>
      </c>
    </row>
    <row r="28" spans="1:11" s="3" customFormat="1" x14ac:dyDescent="0.25">
      <c r="D28" s="3" t="s">
        <v>28</v>
      </c>
      <c r="E28" s="7">
        <v>20</v>
      </c>
      <c r="F28" s="3" t="s">
        <v>29</v>
      </c>
    </row>
    <row r="29" spans="1:11" s="3" customFormat="1" x14ac:dyDescent="0.25">
      <c r="D29" s="3" t="s">
        <v>12</v>
      </c>
      <c r="E29" s="3">
        <f>+E27*0.408/E26^2</f>
        <v>0.79880961704127207</v>
      </c>
      <c r="F29" s="3" t="s">
        <v>13</v>
      </c>
      <c r="I29" s="3" t="s">
        <v>30</v>
      </c>
      <c r="J29" s="3" t="s">
        <v>31</v>
      </c>
      <c r="K29" s="3" t="s">
        <v>32</v>
      </c>
    </row>
    <row r="30" spans="1:11" s="3" customFormat="1" x14ac:dyDescent="0.25">
      <c r="D30" s="3" t="s">
        <v>33</v>
      </c>
      <c r="E30" s="3">
        <f>123.9*E26*E29*62.5*E24/E25</f>
        <v>0.41939601769911522</v>
      </c>
      <c r="I30" s="3">
        <f>64/E30</f>
        <v>152.60039985862511</v>
      </c>
      <c r="J30" s="13">
        <v>0.03</v>
      </c>
      <c r="K30" s="3">
        <f>IF(E30&lt;2000,I30,J30)</f>
        <v>152.60039985862511</v>
      </c>
    </row>
    <row r="31" spans="1:11" s="3" customFormat="1" x14ac:dyDescent="0.25">
      <c r="D31" s="3" t="s">
        <v>34</v>
      </c>
      <c r="E31" s="14">
        <f>+K30*E28/(E26/12)*E29^2*E24/64.4/2.31</f>
        <v>62.558986746828268</v>
      </c>
      <c r="F31" s="3" t="s">
        <v>35</v>
      </c>
      <c r="G31" s="14">
        <f>E31*2.31</f>
        <v>144.5112593851733</v>
      </c>
      <c r="H31" s="3" t="s">
        <v>36</v>
      </c>
    </row>
    <row r="32" spans="1:11" s="3" customFormat="1" x14ac:dyDescent="0.25">
      <c r="D32" s="3" t="s">
        <v>37</v>
      </c>
      <c r="E32" s="11">
        <f>3.14159*(E26/24)^2*E28*E24*7.48*8.33</f>
        <v>31.243739281497046</v>
      </c>
      <c r="F32" s="3" t="s">
        <v>38</v>
      </c>
    </row>
    <row r="33" spans="1:9" s="3" customFormat="1" x14ac:dyDescent="0.25">
      <c r="D33" s="3" t="s">
        <v>39</v>
      </c>
      <c r="E33" s="11">
        <f>3.14159*(E26/24)^2*E28*7.48</f>
        <v>4.1674989037611105</v>
      </c>
      <c r="F33" s="3" t="s">
        <v>40</v>
      </c>
    </row>
    <row r="34" spans="1:9" s="3" customFormat="1" x14ac:dyDescent="0.25">
      <c r="C34" s="10"/>
      <c r="D34" s="3" t="s">
        <v>41</v>
      </c>
      <c r="E34" s="11">
        <f>+E28/E29</f>
        <v>25.037254901960775</v>
      </c>
      <c r="F34" s="3" t="s">
        <v>42</v>
      </c>
    </row>
    <row r="35" spans="1:9" s="3" customFormat="1" x14ac:dyDescent="0.25">
      <c r="D35" s="3" t="s">
        <v>43</v>
      </c>
      <c r="E35" s="3">
        <f>E27*SQRT(E24)/SQRT(E31)</f>
        <v>1.199434127746521</v>
      </c>
    </row>
    <row r="36" spans="1:9" s="3" customFormat="1" x14ac:dyDescent="0.25">
      <c r="D36" s="3" t="s">
        <v>44</v>
      </c>
      <c r="E36" s="3">
        <f>1/E35</f>
        <v>0.83372648557097928</v>
      </c>
    </row>
    <row r="37" spans="1:9" s="3" customFormat="1" x14ac:dyDescent="0.25"/>
    <row r="38" spans="1:9" s="3" customFormat="1" x14ac:dyDescent="0.25"/>
    <row r="39" spans="1:9" s="3" customFormat="1" ht="15.75" x14ac:dyDescent="0.25">
      <c r="A39" s="4" t="s">
        <v>45</v>
      </c>
      <c r="B39" s="4"/>
      <c r="C39" s="4"/>
      <c r="D39" s="4"/>
      <c r="E39" s="4"/>
      <c r="F39" s="4"/>
      <c r="G39" s="4"/>
      <c r="H39" s="4"/>
      <c r="I39" s="5"/>
    </row>
    <row r="40" spans="1:9" s="3" customFormat="1" ht="15.75" x14ac:dyDescent="0.25">
      <c r="H40" s="5"/>
      <c r="I40" s="5"/>
    </row>
    <row r="41" spans="1:9" s="3" customFormat="1" x14ac:dyDescent="0.25">
      <c r="D41" s="3" t="s">
        <v>26</v>
      </c>
      <c r="E41" s="3">
        <f>(E43*3.1*E44*(SQRT(148*E45)))</f>
        <v>317.91301339240408</v>
      </c>
      <c r="F41" s="3" t="s">
        <v>27</v>
      </c>
    </row>
    <row r="42" spans="1:9" s="3" customFormat="1" x14ac:dyDescent="0.25">
      <c r="D42" s="3" t="s">
        <v>26</v>
      </c>
      <c r="E42" s="3">
        <f>E41*8.34*E48</f>
        <v>188481.03763934691</v>
      </c>
      <c r="F42" s="3" t="s">
        <v>46</v>
      </c>
    </row>
    <row r="43" spans="1:9" s="3" customFormat="1" x14ac:dyDescent="0.25">
      <c r="D43" s="3" t="s">
        <v>47</v>
      </c>
      <c r="E43" s="7">
        <v>0.6</v>
      </c>
    </row>
    <row r="44" spans="1:9" s="3" customFormat="1" x14ac:dyDescent="0.25">
      <c r="D44" s="3" t="s">
        <v>48</v>
      </c>
      <c r="E44" s="3">
        <f>+(+E46/2)^2*3.14159</f>
        <v>3.1415899999999999</v>
      </c>
      <c r="F44" s="3" t="s">
        <v>49</v>
      </c>
    </row>
    <row r="45" spans="1:9" s="3" customFormat="1" x14ac:dyDescent="0.25">
      <c r="D45" s="3" t="s">
        <v>50</v>
      </c>
      <c r="E45" s="7">
        <v>20</v>
      </c>
      <c r="F45" s="3" t="s">
        <v>51</v>
      </c>
    </row>
    <row r="46" spans="1:9" s="3" customFormat="1" x14ac:dyDescent="0.25">
      <c r="D46" s="3" t="s">
        <v>15</v>
      </c>
      <c r="E46" s="7">
        <v>2</v>
      </c>
      <c r="F46" s="3" t="s">
        <v>16</v>
      </c>
    </row>
    <row r="47" spans="1:9" s="3" customFormat="1" x14ac:dyDescent="0.25">
      <c r="D47" s="3" t="s">
        <v>24</v>
      </c>
      <c r="E47" s="7">
        <v>1</v>
      </c>
    </row>
    <row r="48" spans="1:9" s="3" customFormat="1" x14ac:dyDescent="0.25">
      <c r="D48" s="3" t="s">
        <v>52</v>
      </c>
      <c r="E48" s="3">
        <f>+E41*SQRT(E47)/SQRT(E45)</f>
        <v>71.087510887721649</v>
      </c>
    </row>
    <row r="49" spans="1:8" s="3" customFormat="1" x14ac:dyDescent="0.25"/>
    <row r="50" spans="1:8" s="3" customFormat="1" x14ac:dyDescent="0.25"/>
    <row r="51" spans="1:8" s="3" customFormat="1" x14ac:dyDescent="0.25"/>
    <row r="52" spans="1:8" s="3" customFormat="1" ht="15.75" x14ac:dyDescent="0.25">
      <c r="A52" s="4" t="s">
        <v>53</v>
      </c>
      <c r="B52" s="9"/>
      <c r="C52" s="9"/>
      <c r="D52" s="9"/>
      <c r="E52" s="9"/>
      <c r="F52" s="9"/>
      <c r="G52" s="9"/>
      <c r="H52" s="9"/>
    </row>
    <row r="53" spans="1:8" s="3" customFormat="1" x14ac:dyDescent="0.25"/>
    <row r="54" spans="1:8" s="3" customFormat="1" x14ac:dyDescent="0.25">
      <c r="C54" s="3" t="s">
        <v>54</v>
      </c>
      <c r="D54" s="7">
        <v>400</v>
      </c>
      <c r="E54" s="3" t="s">
        <v>27</v>
      </c>
    </row>
    <row r="55" spans="1:8" s="3" customFormat="1" x14ac:dyDescent="0.25">
      <c r="C55" s="3" t="s">
        <v>25</v>
      </c>
      <c r="D55" s="3">
        <f>SQRT(0.4085*D54/5)</f>
        <v>5.71664237118258</v>
      </c>
      <c r="E55" s="3" t="s">
        <v>16</v>
      </c>
    </row>
    <row r="56" spans="1:8" s="3" customFormat="1" x14ac:dyDescent="0.25"/>
    <row r="57" spans="1:8" s="3" customFormat="1" x14ac:dyDescent="0.25"/>
    <row r="58" spans="1:8" s="3" customFormat="1" ht="15.75" x14ac:dyDescent="0.25">
      <c r="A58" s="4" t="s">
        <v>55</v>
      </c>
      <c r="B58" s="9"/>
      <c r="C58" s="9"/>
      <c r="D58" s="9"/>
      <c r="E58" s="9"/>
      <c r="F58" s="9"/>
      <c r="G58" s="9"/>
      <c r="H58" s="9"/>
    </row>
    <row r="59" spans="1:8" s="3" customFormat="1" x14ac:dyDescent="0.25"/>
    <row r="60" spans="1:8" s="3" customFormat="1" x14ac:dyDescent="0.25">
      <c r="D60" s="3" t="s">
        <v>56</v>
      </c>
      <c r="E60" s="3">
        <f>2*E61*2*E62*(E63-E64)/(9*E65)</f>
        <v>1.0666666666666667</v>
      </c>
      <c r="F60" s="3" t="s">
        <v>13</v>
      </c>
    </row>
    <row r="61" spans="1:8" s="3" customFormat="1" x14ac:dyDescent="0.25">
      <c r="D61" s="3" t="s">
        <v>57</v>
      </c>
      <c r="E61" s="7">
        <v>0.1</v>
      </c>
      <c r="F61" s="3" t="s">
        <v>29</v>
      </c>
    </row>
    <row r="62" spans="1:8" s="3" customFormat="1" x14ac:dyDescent="0.25">
      <c r="D62" s="3" t="s">
        <v>58</v>
      </c>
      <c r="E62" s="7">
        <v>32</v>
      </c>
      <c r="F62" s="3" t="s">
        <v>59</v>
      </c>
    </row>
    <row r="63" spans="1:8" s="3" customFormat="1" x14ac:dyDescent="0.25">
      <c r="D63" s="3" t="s">
        <v>60</v>
      </c>
      <c r="E63" s="7">
        <v>70</v>
      </c>
      <c r="F63" s="3" t="s">
        <v>61</v>
      </c>
    </row>
    <row r="64" spans="1:8" s="3" customFormat="1" x14ac:dyDescent="0.25">
      <c r="D64" s="3" t="s">
        <v>62</v>
      </c>
      <c r="E64" s="7">
        <v>62.5</v>
      </c>
      <c r="F64" s="3" t="s">
        <v>61</v>
      </c>
    </row>
    <row r="65" spans="4:6" s="3" customFormat="1" x14ac:dyDescent="0.25">
      <c r="D65" s="3" t="s">
        <v>20</v>
      </c>
      <c r="E65" s="7">
        <v>10</v>
      </c>
      <c r="F65" s="3" t="s">
        <v>63</v>
      </c>
    </row>
  </sheetData>
  <sheetProtection algorithmName="SHA-512" hashValue="Awl344yLZ9cQj3I1bKz11Fej9gf1NooQRtFOmqOso18u9zhEouROJM4qRl9PLkCJk0XHgoFcTa7+ZyYHF3hGpQ==" saltValue="F0R+xg3dFC8MXSYPJY8YRA==" spinCount="100000" sheet="1" objects="1" scenarios="1"/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Schott</dc:creator>
  <cp:lastModifiedBy>John Schott</cp:lastModifiedBy>
  <dcterms:created xsi:type="dcterms:W3CDTF">2023-04-29T19:41:10Z</dcterms:created>
  <dcterms:modified xsi:type="dcterms:W3CDTF">2023-04-29T19:44:21Z</dcterms:modified>
</cp:coreProperties>
</file>